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95" windowHeight="2325" activeTab="0"/>
  </bookViews>
  <sheets>
    <sheet name="структ." sheetId="1" r:id="rId1"/>
    <sheet name="Лист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<sst xmlns="http://schemas.openxmlformats.org/spreadsheetml/2006/main" count="103" uniqueCount="86">
  <si>
    <t>№</t>
  </si>
  <si>
    <t>Показник</t>
  </si>
  <si>
    <t>Передбачено діючим тарифом</t>
  </si>
  <si>
    <t>усього, тис. грн</t>
  </si>
  <si>
    <t>А</t>
  </si>
  <si>
    <t>Б</t>
  </si>
  <si>
    <t>прямі матеріальні витрати, зокрема:</t>
  </si>
  <si>
    <t>паливно-мастильні матеріали</t>
  </si>
  <si>
    <t>матеріали для ремонту засобів механізації</t>
  </si>
  <si>
    <t>інші прямі матеріальні витрати</t>
  </si>
  <si>
    <t>прямі витрати на оплату праці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</si>
  <si>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</si>
  <si>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</si>
  <si>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</si>
  <si>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інші прямі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</si>
  <si>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</si>
  <si>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</si>
  <si>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</si>
  <si>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</si>
  <si>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на покриття втрат</t>
  </si>
  <si>
    <t>податок на прибуток</t>
  </si>
  <si>
    <t>чистий прибуток, зокрема:</t>
  </si>
  <si>
    <t>дивіденди</t>
  </si>
  <si>
    <t>резервний фонд (капітал)</t>
  </si>
  <si>
    <t>інше використання прибутку</t>
  </si>
  <si>
    <t>(підпис)</t>
  </si>
  <si>
    <t xml:space="preserve"> 1.1</t>
  </si>
  <si>
    <t xml:space="preserve"> 1.1.1</t>
  </si>
  <si>
    <t xml:space="preserve"> 1.1.2</t>
  </si>
  <si>
    <t xml:space="preserve"> 1.1.6</t>
  </si>
  <si>
    <t xml:space="preserve"> 1.2</t>
  </si>
  <si>
    <t xml:space="preserve"> 1.3</t>
  </si>
  <si>
    <t xml:space="preserve"> 1.3.1</t>
  </si>
  <si>
    <t xml:space="preserve"> 1.3.2</t>
  </si>
  <si>
    <t xml:space="preserve"> 1.3.3</t>
  </si>
  <si>
    <t xml:space="preserve"> 1.4</t>
  </si>
  <si>
    <t xml:space="preserve"> 8.1</t>
  </si>
  <si>
    <t xml:space="preserve"> 8.2</t>
  </si>
  <si>
    <t xml:space="preserve"> 8.2.1</t>
  </si>
  <si>
    <t xml:space="preserve"> 8.2.2</t>
  </si>
  <si>
    <t xml:space="preserve"> 8.2.3</t>
  </si>
  <si>
    <t xml:space="preserve"> 8.2.4</t>
  </si>
  <si>
    <t>автомобілем ГАЗ</t>
  </si>
  <si>
    <t>автомобілем МАЗ</t>
  </si>
  <si>
    <t>(без ПДВ)</t>
  </si>
  <si>
    <r>
      <t>грн/м</t>
    </r>
    <r>
      <rPr>
        <b/>
        <vertAlign val="superscript"/>
        <sz val="11"/>
        <color indexed="8"/>
        <rFont val="Times New Roman"/>
        <family val="1"/>
      </rPr>
      <t>-3</t>
    </r>
  </si>
  <si>
    <t>населення</t>
  </si>
  <si>
    <t>бюджетні установи</t>
  </si>
  <si>
    <t>інші споживачі</t>
  </si>
  <si>
    <t>бюджетних установ</t>
  </si>
  <si>
    <t>інших споживачів</t>
  </si>
  <si>
    <t>Тариф на послуги з поводження з побутовими відходами (з ПДВ)</t>
  </si>
  <si>
    <t>Виробнича собівартість , усього, зокрема:</t>
  </si>
  <si>
    <t>Вивезення рідких нечистот</t>
  </si>
  <si>
    <t>інші споживачів</t>
  </si>
  <si>
    <t>Усього витрат повної собівартості</t>
  </si>
  <si>
    <t>Планований прибуток</t>
  </si>
  <si>
    <t>грн/м-3</t>
  </si>
  <si>
    <t>Фактично  за</t>
  </si>
  <si>
    <r>
      <t>грн/м</t>
    </r>
    <r>
      <rPr>
        <b/>
        <sz val="11"/>
        <color indexed="8"/>
        <rFont val="Times New Roman"/>
        <family val="1"/>
      </rPr>
      <t>-3</t>
    </r>
  </si>
  <si>
    <t>А. Гавриш</t>
  </si>
  <si>
    <t>(П.І.Б)</t>
  </si>
  <si>
    <r>
      <t xml:space="preserve">попередній до базового </t>
    </r>
    <r>
      <rPr>
        <u val="single"/>
        <sz val="11"/>
        <color indexed="8"/>
        <rFont val="Times New Roman"/>
        <family val="1"/>
      </rPr>
      <t>2019</t>
    </r>
    <r>
      <rPr>
        <sz val="11"/>
        <color indexed="8"/>
        <rFont val="Times New Roman"/>
        <family val="1"/>
      </rPr>
      <t xml:space="preserve"> рік</t>
    </r>
  </si>
  <si>
    <r>
      <t xml:space="preserve">за базовий період  рік  </t>
    </r>
    <r>
      <rPr>
        <u val="single"/>
        <sz val="11"/>
        <color indexed="8"/>
        <rFont val="Times New Roman"/>
        <family val="1"/>
      </rPr>
      <t>2020</t>
    </r>
    <r>
      <rPr>
        <sz val="11"/>
        <color indexed="8"/>
        <rFont val="Times New Roman"/>
        <family val="1"/>
      </rPr>
      <t xml:space="preserve"> рік</t>
    </r>
  </si>
  <si>
    <t>автомобілем АТ ВО</t>
  </si>
  <si>
    <t>Планований період рік 2022 рік</t>
  </si>
  <si>
    <t>КП "Прилукитепловодопостачання"</t>
  </si>
  <si>
    <t>Начальник ПЕВ</t>
  </si>
  <si>
    <t>Загальновиробничі витрати з них</t>
  </si>
  <si>
    <t>витрати на оплаут праці</t>
  </si>
  <si>
    <t xml:space="preserve">єдиний соціальний внесок </t>
  </si>
  <si>
    <t>інші витрати</t>
  </si>
  <si>
    <t>Директор КП ПТВП</t>
  </si>
  <si>
    <t>С, Тарасенко</t>
  </si>
  <si>
    <t>Структура тарифів на послугу з поводження з побутовимии відходами  (вивіз і очищення рідких нечистот) КП "Прилукитепловодопостачання"</t>
  </si>
  <si>
    <t>інвестування в необоротні матеріальні активи</t>
  </si>
  <si>
    <t xml:space="preserve"> 1.4.1</t>
  </si>
  <si>
    <t xml:space="preserve"> 1.4.2</t>
  </si>
  <si>
    <t xml:space="preserve"> 1.4.3</t>
  </si>
  <si>
    <t xml:space="preserve"> 2.1.</t>
  </si>
  <si>
    <t xml:space="preserve"> 2.2</t>
  </si>
  <si>
    <t xml:space="preserve"> 2.3</t>
  </si>
  <si>
    <t>Вартість послуг з вивозу  рідких нечистот</t>
  </si>
  <si>
    <t>Вартість послуг з очищення  рідких нечистот</t>
  </si>
  <si>
    <r>
      <t>Обсяг послуг з поводження з побутовими відходами  всього (тис. м</t>
    </r>
    <r>
      <rPr>
        <b/>
        <vertAlign val="superscript"/>
        <sz val="11"/>
        <color indexed="8"/>
        <rFont val="Times New Roman"/>
        <family val="1"/>
      </rPr>
      <t>-3 ),</t>
    </r>
  </si>
  <si>
    <t xml:space="preserve">Вартість послуг з поводження з побутовими відходами (вівіз  та очищення рідких нечистот)  без ПДВ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</si>
</sst>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#,##0.0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  <font>
      <b/>
      <sz val="13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16" fontId="49" fillId="0" borderId="10" xfId="0" applyNumberFormat="1" applyFont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top" wrapText="1"/>
    </xf>
    <xf numFmtId="16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top" wrapText="1"/>
    </xf>
    <xf numFmtId="2" fontId="51" fillId="0" borderId="10" xfId="0" applyNumberFormat="1" applyFont="1" applyBorder="1" applyAlignment="1">
      <alignment vertical="top" wrapText="1"/>
    </xf>
    <xf numFmtId="177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2" fontId="51" fillId="0" borderId="10" xfId="0" applyNumberFormat="1" applyFont="1" applyBorder="1" applyAlignment="1">
      <alignment vertical="center" wrapText="1"/>
    </xf>
    <xf numFmtId="2" fontId="58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top" wrapText="1"/>
    </xf>
    <xf numFmtId="2" fontId="50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2" fontId="50" fillId="4" borderId="10" xfId="0" applyNumberFormat="1" applyFont="1" applyFill="1" applyBorder="1" applyAlignment="1">
      <alignment horizontal="center" vertical="center"/>
    </xf>
    <xf numFmtId="2" fontId="51" fillId="4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vertical="center" wrapText="1"/>
    </xf>
    <xf numFmtId="2" fontId="49" fillId="33" borderId="10" xfId="0" applyNumberFormat="1" applyFont="1" applyFill="1" applyBorder="1" applyAlignment="1">
      <alignment vertical="center" wrapText="1"/>
    </xf>
    <xf numFmtId="2" fontId="51" fillId="33" borderId="10" xfId="0" applyNumberFormat="1" applyFont="1" applyFill="1" applyBorder="1" applyAlignment="1">
      <alignment horizontal="center" vertical="top" wrapText="1"/>
    </xf>
    <xf numFmtId="2" fontId="49" fillId="33" borderId="10" xfId="0" applyNumberFormat="1" applyFont="1" applyFill="1" applyBorder="1" applyAlignment="1">
      <alignment horizontal="center" vertical="top" wrapText="1"/>
    </xf>
    <xf numFmtId="2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2" fontId="51" fillId="33" borderId="10" xfId="0" applyNumberFormat="1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vertical="top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176" fontId="50" fillId="0" borderId="0" xfId="0" applyNumberFormat="1" applyFont="1" applyAlignment="1">
      <alignment horizontal="center"/>
    </xf>
    <xf numFmtId="0" fontId="50" fillId="0" borderId="13" xfId="0" applyFont="1" applyBorder="1" applyAlignment="1">
      <alignment horizont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top" wrapText="1"/>
    </xf>
    <xf numFmtId="0" fontId="59" fillId="35" borderId="10" xfId="0" applyFont="1" applyFill="1" applyBorder="1" applyAlignment="1">
      <alignment horizontal="center"/>
    </xf>
    <xf numFmtId="176" fontId="47" fillId="35" borderId="10" xfId="0" applyNumberFormat="1" applyFont="1" applyFill="1" applyBorder="1" applyAlignment="1">
      <alignment horizontal="center"/>
    </xf>
    <xf numFmtId="2" fontId="51" fillId="35" borderId="10" xfId="0" applyNumberFormat="1" applyFont="1" applyFill="1" applyBorder="1" applyAlignment="1">
      <alignment horizontal="center" vertical="top" wrapText="1"/>
    </xf>
    <xf numFmtId="2" fontId="49" fillId="35" borderId="10" xfId="0" applyNumberFormat="1" applyFont="1" applyFill="1" applyBorder="1" applyAlignment="1">
      <alignment horizontal="center" vertical="top" wrapText="1"/>
    </xf>
    <xf numFmtId="2" fontId="50" fillId="35" borderId="10" xfId="0" applyNumberFormat="1" applyFont="1" applyFill="1" applyBorder="1" applyAlignment="1">
      <alignment horizontal="center" vertical="center"/>
    </xf>
    <xf numFmtId="2" fontId="50" fillId="35" borderId="10" xfId="0" applyNumberFormat="1" applyFont="1" applyFill="1" applyBorder="1" applyAlignment="1">
      <alignment horizontal="center"/>
    </xf>
    <xf numFmtId="2" fontId="58" fillId="35" borderId="10" xfId="0" applyNumberFormat="1" applyFont="1" applyFill="1" applyBorder="1" applyAlignment="1">
      <alignment horizontal="center" vertical="center"/>
    </xf>
    <xf numFmtId="2" fontId="58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2" fontId="49" fillId="35" borderId="10" xfId="0" applyNumberFormat="1" applyFont="1" applyFill="1" applyBorder="1" applyAlignment="1">
      <alignment horizontal="center" vertical="center" wrapText="1"/>
    </xf>
    <xf numFmtId="2" fontId="51" fillId="35" borderId="10" xfId="0" applyNumberFormat="1" applyFont="1" applyFill="1" applyBorder="1" applyAlignment="1">
      <alignment horizontal="center" vertical="center" wrapText="1"/>
    </xf>
    <xf numFmtId="177" fontId="49" fillId="35" borderId="10" xfId="0" applyNumberFormat="1" applyFont="1" applyFill="1" applyBorder="1" applyAlignment="1">
      <alignment horizontal="center" vertical="center" wrapText="1"/>
    </xf>
    <xf numFmtId="177" fontId="50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176" fontId="50" fillId="35" borderId="10" xfId="0" applyNumberFormat="1" applyFont="1" applyFill="1" applyBorder="1" applyAlignment="1">
      <alignment horizontal="center" vertical="center"/>
    </xf>
    <xf numFmtId="4" fontId="50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center"/>
    </xf>
    <xf numFmtId="0" fontId="50" fillId="35" borderId="10" xfId="0" applyFont="1" applyFill="1" applyBorder="1" applyAlignment="1">
      <alignment horizontal="center"/>
    </xf>
    <xf numFmtId="177" fontId="50" fillId="35" borderId="10" xfId="0" applyNumberFormat="1" applyFont="1" applyFill="1" applyBorder="1" applyAlignment="1">
      <alignment horizontal="center"/>
    </xf>
    <xf numFmtId="0" fontId="49" fillId="34" borderId="0" xfId="0" applyFont="1" applyFill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&#1088;&#1110;&#1082;\&#1040;&#1085;&#1072;&#1083;&#1110;&#1079;&#1080;\&#1072;&#1085;&#1072;&#1083;&#1110;&#1079;%20&#1086;&#1073;&#1089;&#1103;&#1075;&#1110;&#1074;%202019%20&#1088;&#1110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&#1088;&#1110;&#1082;\&#1042;&#1080;&#1090;&#1088;&#1072;&#1090;&#1080;%202019\&#1053;&#1072;&#1073;&#1086;&#1088;&#1082;&#1072;%20&#1076;&#1083;&#1103;%20%208%20&#1085;&#1082;&#1087;%20&#1078;&#1082;&#1075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0%20%20&#1088;&#1110;&#1082;\&#1042;&#1080;&#1090;&#1088;&#1072;&#1090;&#1080;%202020\&#1053;&#1072;&#1073;&#1086;&#1088;&#1082;&#1072;%20&#1076;&#1083;&#1103;%20%208%20&#1085;&#1082;&#1087;%20&#1078;&#1082;&#1075;%2020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0%20%20&#1088;&#1110;&#1082;\&#1040;&#1085;&#1072;&#1083;&#1110;&#1079;&#1080;\&#1072;&#1085;&#1072;&#1083;&#1110;&#1079;%20&#1086;&#1073;&#1089;&#1103;&#1075;&#1110;&#1074;%202020%20&#1088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.%2034%20&#1079;&#1072;&#1075;&#1072;&#1083;.&#1074;&#1080;&#1088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.%2035%20&#1072;&#1076;&#1084;&#111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ручка "/>
      <sheetName val="тепло"/>
      <sheetName val="канал х.в"/>
      <sheetName val="канал.г.в"/>
      <sheetName val="вода"/>
      <sheetName val="внутрибуд."/>
      <sheetName val="вивоз нечистот"/>
      <sheetName val="тепло фін.пл."/>
      <sheetName val="розрахунок ф.1С"/>
    </sheetNames>
    <sheetDataSet>
      <sheetData sheetId="6">
        <row r="6">
          <cell r="AF6">
            <v>1783.5102999999997</v>
          </cell>
          <cell r="AG6">
            <v>124662.98999999999</v>
          </cell>
        </row>
        <row r="13">
          <cell r="AF13">
            <v>1629.85</v>
          </cell>
          <cell r="AG13">
            <v>107580.09</v>
          </cell>
        </row>
        <row r="17">
          <cell r="AF17">
            <v>4471</v>
          </cell>
          <cell r="AG17">
            <v>293268.97000000003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поділ між послугами"/>
      <sheetName val="розподіл по основним видам"/>
      <sheetName val="збут безпосередній"/>
      <sheetName val="розподіл між послугами 93 без"/>
      <sheetName val="розп збут безпосер"/>
      <sheetName val="центр.послуги збут"/>
      <sheetName val="розподіл ЦП збут"/>
      <sheetName val="Збут Цент роз"/>
      <sheetName val="вивіз нечистот"/>
      <sheetName val="інші послуги"/>
      <sheetName val="1-С (А)"/>
      <sheetName val="розп заг"/>
      <sheetName val="розшиф.витрат"/>
      <sheetName val="виробн енергії"/>
      <sheetName val="транс енергії"/>
      <sheetName val="постачання енергії"/>
      <sheetName val="ТП"/>
      <sheetName val="вода"/>
      <sheetName val="ВП"/>
      <sheetName val="центр. посл. тепло"/>
      <sheetName val="ЦПТ"/>
      <sheetName val="очищення"/>
      <sheetName val="ВВ"/>
      <sheetName val="23(внутр)"/>
      <sheetName val="ОВМ"/>
      <sheetName val="1 С"/>
      <sheetName val="8нкп жкг"/>
      <sheetName val="свод по місяцам"/>
      <sheetName val="розшифр"/>
      <sheetName val="розшифр прямих"/>
      <sheetName val="розрах  інших операц"/>
      <sheetName val="ряд270 розр"/>
      <sheetName val="ряд270"/>
      <sheetName val="ремонт то"/>
      <sheetName val="зарплата ремонт"/>
      <sheetName val="розш"/>
      <sheetName val="гаряча вода фінрезультат"/>
      <sheetName val="Структ.тепло"/>
      <sheetName val="Структ.ЦП"/>
      <sheetName val="Структ.тепло (2)"/>
      <sheetName val="Структ.ЦП (2)"/>
    </sheetNames>
    <sheetDataSet>
      <sheetData sheetId="8">
        <row r="8">
          <cell r="B8">
            <v>58922.211853999994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поділ між послугами"/>
      <sheetName val="розподіл по основним видам"/>
      <sheetName val="збут безпосередній"/>
      <sheetName val="розподіл між послугами 93 без"/>
      <sheetName val="розп збут безпосер"/>
      <sheetName val="центр.послуги збут"/>
      <sheetName val="розподіл ЦП збут"/>
      <sheetName val="Збут Цент роз"/>
      <sheetName val="вивіз нечистот"/>
      <sheetName val="інші послуги"/>
      <sheetName val="1-С (А)"/>
      <sheetName val="розп заг"/>
      <sheetName val="розшиф.витрат"/>
      <sheetName val="виробн енергії"/>
      <sheetName val="транс енергії"/>
      <sheetName val="постачання енергії"/>
      <sheetName val="ТП"/>
      <sheetName val="вода"/>
      <sheetName val="ВП"/>
      <sheetName val="центр. посл. тепло"/>
      <sheetName val="ЦПТ"/>
      <sheetName val="очищення"/>
      <sheetName val="ВВ"/>
      <sheetName val="23(внутр)"/>
      <sheetName val="ОВМ"/>
      <sheetName val="1 С"/>
      <sheetName val="8нкп жкг"/>
      <sheetName val="свод по місяцам"/>
      <sheetName val="розшифр"/>
      <sheetName val="розшифр прямих"/>
      <sheetName val="розрах  інших операц"/>
      <sheetName val="ряд270 розр"/>
      <sheetName val="ряд270"/>
      <sheetName val="ремонт то"/>
      <sheetName val="зарплата ремонт"/>
      <sheetName val="звіт в тис 8"/>
      <sheetName val="розш"/>
      <sheetName val="гаряча вода фінрезультат"/>
      <sheetName val="Лист1"/>
      <sheetName val="структ.теп.ен."/>
      <sheetName val="структ.ЦП"/>
      <sheetName val="структ."/>
    </sheetNames>
    <sheetDataSet>
      <sheetData sheetId="8">
        <row r="5">
          <cell r="B5">
            <v>52698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ручка "/>
      <sheetName val="тепло"/>
      <sheetName val="Лист1"/>
      <sheetName val="канал х.в"/>
      <sheetName val="канал.г.в"/>
      <sheetName val="вода"/>
      <sheetName val="внутрибуд."/>
      <sheetName val="вивоз нечистот"/>
      <sheetName val="тепло фін.пл."/>
      <sheetName val="тепло фін.пл.4 кварт."/>
      <sheetName val="канал х.в фін.пл."/>
    </sheetNames>
    <sheetDataSet>
      <sheetData sheetId="7">
        <row r="6">
          <cell r="AF6">
            <v>1559.6539999999998</v>
          </cell>
          <cell r="AG6">
            <v>107906.43</v>
          </cell>
        </row>
        <row r="13">
          <cell r="AF13">
            <v>1733.5500000000002</v>
          </cell>
          <cell r="AG13">
            <v>116652.90999999999</v>
          </cell>
        </row>
        <row r="17">
          <cell r="AF17">
            <v>4108.2</v>
          </cell>
          <cell r="AG17">
            <v>269610.95999999996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I15">
            <v>4.86109945622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I13">
            <v>61.4473686631568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6.421875" style="0" customWidth="1"/>
    <col min="2" max="2" width="48.421875" style="0" customWidth="1"/>
    <col min="3" max="3" width="9.421875" style="0" hidden="1" customWidth="1"/>
    <col min="4" max="4" width="9.140625" style="0" hidden="1" customWidth="1"/>
    <col min="5" max="5" width="9.00390625" style="0" hidden="1" customWidth="1"/>
    <col min="6" max="6" width="8.57421875" style="0" hidden="1" customWidth="1"/>
    <col min="7" max="7" width="8.8515625" style="0" hidden="1" customWidth="1"/>
    <col min="8" max="8" width="8.00390625" style="20" hidden="1" customWidth="1"/>
    <col min="9" max="9" width="9.00390625" style="0" hidden="1" customWidth="1"/>
    <col min="10" max="10" width="8.57421875" style="20" hidden="1" customWidth="1"/>
    <col min="11" max="11" width="9.57421875" style="0" customWidth="1"/>
    <col min="12" max="12" width="8.8515625" style="0" customWidth="1"/>
    <col min="13" max="13" width="9.28125" style="0" customWidth="1"/>
    <col min="14" max="14" width="8.421875" style="0" customWidth="1"/>
  </cols>
  <sheetData>
    <row r="1" spans="1:15" ht="16.5" customHeight="1">
      <c r="A1" s="71"/>
      <c r="B1" s="71"/>
      <c r="C1" s="71"/>
      <c r="D1" s="71"/>
      <c r="E1" s="121" t="s">
        <v>66</v>
      </c>
      <c r="F1" s="121"/>
      <c r="G1" s="121"/>
      <c r="H1" s="121"/>
      <c r="I1" s="121"/>
      <c r="J1" s="121"/>
      <c r="K1" s="71"/>
      <c r="L1" s="71"/>
      <c r="M1" s="71"/>
      <c r="N1" s="71"/>
      <c r="O1" s="1"/>
    </row>
    <row r="2" spans="1:16" ht="34.5" customHeight="1">
      <c r="A2" s="71"/>
      <c r="B2" s="101" t="s">
        <v>74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8" customHeight="1">
      <c r="A3" s="2"/>
      <c r="B3" s="2"/>
      <c r="C3" s="2"/>
      <c r="D3" s="2"/>
      <c r="E3" s="2"/>
      <c r="F3" s="2"/>
      <c r="G3" s="2"/>
      <c r="H3" s="17"/>
      <c r="I3" s="2"/>
      <c r="J3" s="17"/>
      <c r="K3" s="1"/>
      <c r="L3" s="1"/>
      <c r="M3" s="1"/>
      <c r="O3" s="1"/>
      <c r="P3" s="3" t="s">
        <v>44</v>
      </c>
    </row>
    <row r="4" spans="1:16" ht="33" customHeight="1">
      <c r="A4" s="110" t="s">
        <v>0</v>
      </c>
      <c r="B4" s="102" t="s">
        <v>1</v>
      </c>
      <c r="C4" s="115" t="s">
        <v>58</v>
      </c>
      <c r="D4" s="116"/>
      <c r="E4" s="116"/>
      <c r="F4" s="117"/>
      <c r="G4" s="110" t="s">
        <v>2</v>
      </c>
      <c r="H4" s="110"/>
      <c r="I4" s="110" t="s">
        <v>65</v>
      </c>
      <c r="J4" s="110"/>
      <c r="K4" s="110"/>
      <c r="L4" s="110"/>
      <c r="M4" s="110"/>
      <c r="N4" s="110"/>
      <c r="O4" s="110"/>
      <c r="P4" s="110"/>
    </row>
    <row r="5" spans="1:16" ht="39.75" customHeight="1">
      <c r="A5" s="110"/>
      <c r="B5" s="103"/>
      <c r="C5" s="110" t="s">
        <v>62</v>
      </c>
      <c r="D5" s="110"/>
      <c r="E5" s="118" t="s">
        <v>63</v>
      </c>
      <c r="F5" s="119"/>
      <c r="G5" s="110" t="s">
        <v>3</v>
      </c>
      <c r="H5" s="110" t="s">
        <v>59</v>
      </c>
      <c r="I5" s="120" t="s">
        <v>3</v>
      </c>
      <c r="J5" s="110" t="s">
        <v>57</v>
      </c>
      <c r="K5" s="110" t="s">
        <v>42</v>
      </c>
      <c r="L5" s="110"/>
      <c r="M5" s="110" t="s">
        <v>43</v>
      </c>
      <c r="N5" s="110"/>
      <c r="O5" s="110" t="s">
        <v>64</v>
      </c>
      <c r="P5" s="110"/>
    </row>
    <row r="6" spans="1:16" ht="30">
      <c r="A6" s="110"/>
      <c r="B6" s="104"/>
      <c r="C6" s="67" t="s">
        <v>3</v>
      </c>
      <c r="D6" s="67" t="s">
        <v>45</v>
      </c>
      <c r="E6" s="67" t="s">
        <v>3</v>
      </c>
      <c r="F6" s="67" t="s">
        <v>45</v>
      </c>
      <c r="G6" s="110"/>
      <c r="H6" s="110"/>
      <c r="I6" s="120"/>
      <c r="J6" s="110"/>
      <c r="K6" s="75" t="s">
        <v>3</v>
      </c>
      <c r="L6" s="89" t="s">
        <v>45</v>
      </c>
      <c r="M6" s="75" t="s">
        <v>3</v>
      </c>
      <c r="N6" s="65" t="s">
        <v>45</v>
      </c>
      <c r="O6" s="75" t="s">
        <v>3</v>
      </c>
      <c r="P6" s="65" t="s">
        <v>45</v>
      </c>
    </row>
    <row r="7" spans="1:16" ht="12.75">
      <c r="A7" s="4" t="s">
        <v>4</v>
      </c>
      <c r="B7" s="4" t="s">
        <v>5</v>
      </c>
      <c r="C7" s="4">
        <v>1</v>
      </c>
      <c r="D7" s="4">
        <v>2</v>
      </c>
      <c r="E7" s="4">
        <v>3</v>
      </c>
      <c r="F7" s="18">
        <v>4</v>
      </c>
      <c r="G7" s="4">
        <v>5</v>
      </c>
      <c r="H7" s="18">
        <v>6</v>
      </c>
      <c r="I7" s="52">
        <v>7</v>
      </c>
      <c r="J7" s="5">
        <v>8</v>
      </c>
      <c r="K7" s="90">
        <v>1</v>
      </c>
      <c r="L7" s="90">
        <v>2</v>
      </c>
      <c r="M7" s="91">
        <v>3</v>
      </c>
      <c r="N7" s="22">
        <v>4</v>
      </c>
      <c r="O7" s="76">
        <v>5</v>
      </c>
      <c r="P7" s="46">
        <v>6</v>
      </c>
    </row>
    <row r="8" spans="1:16" ht="19.5" customHeight="1" hidden="1">
      <c r="A8" s="4"/>
      <c r="B8" s="21" t="s">
        <v>53</v>
      </c>
      <c r="C8" s="21"/>
      <c r="D8" s="21"/>
      <c r="E8" s="4"/>
      <c r="F8" s="4"/>
      <c r="G8" s="4"/>
      <c r="H8" s="18"/>
      <c r="I8" s="53"/>
      <c r="J8" s="18"/>
      <c r="K8" s="77">
        <f>(K10+K14+K15)/(I10+I14+I15)*100</f>
        <v>8.520732516060235</v>
      </c>
      <c r="L8" s="90"/>
      <c r="M8" s="77">
        <f>(M10+M14+M15)/(I10+I14+I15)*100</f>
        <v>81.04189149250975</v>
      </c>
      <c r="N8" s="5"/>
      <c r="O8" s="77">
        <f>100-K8-M8</f>
        <v>10.437375991430017</v>
      </c>
      <c r="P8" s="42"/>
    </row>
    <row r="9" spans="1:16" ht="16.5" customHeight="1">
      <c r="A9" s="14">
        <v>1</v>
      </c>
      <c r="B9" s="13" t="s">
        <v>52</v>
      </c>
      <c r="C9" s="14">
        <f>C10+C14+C15+C19</f>
        <v>278.29</v>
      </c>
      <c r="D9" s="25">
        <f aca="true" t="shared" si="0" ref="D9:D34">C9/$C$48</f>
        <v>35.29645899109913</v>
      </c>
      <c r="E9" s="14">
        <f>E10+E14+E15+E19</f>
        <v>301.52</v>
      </c>
      <c r="F9" s="37">
        <f>E9/$E$48</f>
        <v>40.73821669510271</v>
      </c>
      <c r="G9" s="23">
        <f>G10+G14+G15+G19</f>
        <v>272.6</v>
      </c>
      <c r="H9" s="16">
        <f>G9/$G$48</f>
        <v>41.27176381529145</v>
      </c>
      <c r="I9" s="54">
        <f>K9+M9+O9</f>
        <v>907.9564511171341</v>
      </c>
      <c r="J9" s="29">
        <f>I9/$I$48</f>
        <v>122.68023930781436</v>
      </c>
      <c r="K9" s="78">
        <v>77.36454056200418</v>
      </c>
      <c r="L9" s="78">
        <v>153.5010725436591</v>
      </c>
      <c r="M9" s="78">
        <v>735.8250819135899</v>
      </c>
      <c r="N9" s="37">
        <v>118.54189130758782</v>
      </c>
      <c r="O9" s="78">
        <v>94.76682864153993</v>
      </c>
      <c r="P9" s="37">
        <v>137.40297033716098</v>
      </c>
    </row>
    <row r="10" spans="1:16" ht="20.25" customHeight="1">
      <c r="A10" s="10" t="s">
        <v>26</v>
      </c>
      <c r="B10" s="7" t="s">
        <v>6</v>
      </c>
      <c r="C10" s="6">
        <f>SUM(C11:C13)</f>
        <v>153.8</v>
      </c>
      <c r="D10" s="26">
        <f t="shared" si="0"/>
        <v>19.506972556797034</v>
      </c>
      <c r="E10" s="6">
        <f>SUM(E11:E13)</f>
        <v>167.26999999999998</v>
      </c>
      <c r="F10" s="34">
        <f aca="true" t="shared" si="1" ref="F10:F34">E10/$E$48</f>
        <v>22.599766206519732</v>
      </c>
      <c r="G10" s="24">
        <f>SUM(G11:G13)</f>
        <v>143.48</v>
      </c>
      <c r="H10" s="28">
        <f aca="true" t="shared" si="2" ref="H10:H34">G10/$G$48</f>
        <v>21.722937168811505</v>
      </c>
      <c r="I10" s="55">
        <f aca="true" t="shared" si="3" ref="I10:I18">K10+M10+O10</f>
        <v>488.44643746293707</v>
      </c>
      <c r="J10" s="28">
        <f aca="true" t="shared" si="4" ref="J10:J37">I10/$I$48</f>
        <v>65.99735677110351</v>
      </c>
      <c r="K10" s="79">
        <v>33.414</v>
      </c>
      <c r="L10" s="80">
        <v>66.29761904761905</v>
      </c>
      <c r="M10" s="79">
        <v>429.8118674629371</v>
      </c>
      <c r="N10" s="34">
        <v>69.24296674285713</v>
      </c>
      <c r="O10" s="79">
        <v>25.22057</v>
      </c>
      <c r="P10" s="34">
        <v>36.567449615774976</v>
      </c>
    </row>
    <row r="11" spans="1:16" ht="20.25" customHeight="1">
      <c r="A11" s="11" t="s">
        <v>27</v>
      </c>
      <c r="B11" s="7" t="s">
        <v>7</v>
      </c>
      <c r="C11" s="65">
        <v>153.8</v>
      </c>
      <c r="D11" s="26">
        <f t="shared" si="0"/>
        <v>19.506972556797034</v>
      </c>
      <c r="E11" s="45">
        <f>80.76+80</f>
        <v>160.76</v>
      </c>
      <c r="F11" s="34">
        <f t="shared" si="1"/>
        <v>21.72020335601191</v>
      </c>
      <c r="G11" s="26">
        <v>143.48</v>
      </c>
      <c r="H11" s="32">
        <f t="shared" si="2"/>
        <v>21.722937168811505</v>
      </c>
      <c r="I11" s="55">
        <f t="shared" si="3"/>
        <v>488.44643746293707</v>
      </c>
      <c r="J11" s="32">
        <f t="shared" si="4"/>
        <v>65.99735677110351</v>
      </c>
      <c r="K11" s="80">
        <v>33.414</v>
      </c>
      <c r="L11" s="80">
        <v>66.29761904761905</v>
      </c>
      <c r="M11" s="80">
        <v>429.8118674629371</v>
      </c>
      <c r="N11" s="34">
        <v>69.24296674285713</v>
      </c>
      <c r="O11" s="80">
        <v>25.22057</v>
      </c>
      <c r="P11" s="34">
        <v>36.567449615774976</v>
      </c>
    </row>
    <row r="12" spans="1:16" ht="19.5" customHeight="1">
      <c r="A12" s="11" t="s">
        <v>28</v>
      </c>
      <c r="B12" s="7" t="s">
        <v>8</v>
      </c>
      <c r="C12" s="65"/>
      <c r="D12" s="26">
        <f t="shared" si="0"/>
        <v>0</v>
      </c>
      <c r="E12" s="43"/>
      <c r="F12" s="34">
        <f t="shared" si="1"/>
        <v>0</v>
      </c>
      <c r="G12" s="8"/>
      <c r="H12" s="32">
        <f t="shared" si="2"/>
        <v>0</v>
      </c>
      <c r="I12" s="55">
        <f t="shared" si="3"/>
        <v>0</v>
      </c>
      <c r="J12" s="32">
        <f t="shared" si="4"/>
        <v>0</v>
      </c>
      <c r="K12" s="80">
        <v>0</v>
      </c>
      <c r="L12" s="80">
        <v>0</v>
      </c>
      <c r="M12" s="80">
        <v>0</v>
      </c>
      <c r="N12" s="34">
        <v>0</v>
      </c>
      <c r="O12" s="80">
        <v>0</v>
      </c>
      <c r="P12" s="34">
        <v>0</v>
      </c>
    </row>
    <row r="13" spans="1:16" ht="21" customHeight="1">
      <c r="A13" s="11" t="s">
        <v>29</v>
      </c>
      <c r="B13" s="7" t="s">
        <v>9</v>
      </c>
      <c r="C13" s="65"/>
      <c r="D13" s="26">
        <f t="shared" si="0"/>
        <v>0</v>
      </c>
      <c r="E13" s="43">
        <v>6.51</v>
      </c>
      <c r="F13" s="34">
        <f t="shared" si="1"/>
        <v>0.8795628505078225</v>
      </c>
      <c r="G13" s="35"/>
      <c r="H13" s="32">
        <f t="shared" si="2"/>
        <v>0</v>
      </c>
      <c r="I13" s="55">
        <f t="shared" si="3"/>
        <v>0</v>
      </c>
      <c r="J13" s="32">
        <f t="shared" si="4"/>
        <v>0</v>
      </c>
      <c r="K13" s="80">
        <v>0</v>
      </c>
      <c r="L13" s="80">
        <v>0</v>
      </c>
      <c r="M13" s="92">
        <v>0</v>
      </c>
      <c r="N13" s="34">
        <v>0</v>
      </c>
      <c r="O13" s="80">
        <v>0</v>
      </c>
      <c r="P13" s="34">
        <v>0</v>
      </c>
    </row>
    <row r="14" spans="1:17" ht="18.75" customHeight="1">
      <c r="A14" s="10" t="s">
        <v>30</v>
      </c>
      <c r="B14" s="7" t="s">
        <v>10</v>
      </c>
      <c r="C14" s="65">
        <v>99.08</v>
      </c>
      <c r="D14" s="26">
        <f t="shared" si="0"/>
        <v>12.566650461166775</v>
      </c>
      <c r="E14" s="43">
        <v>107.9</v>
      </c>
      <c r="F14" s="34">
        <f t="shared" si="1"/>
        <v>14.57831514128941</v>
      </c>
      <c r="G14" s="6">
        <v>104.32</v>
      </c>
      <c r="H14" s="32">
        <f t="shared" si="2"/>
        <v>15.794095382286146</v>
      </c>
      <c r="I14" s="55">
        <f t="shared" si="3"/>
        <v>310.79817199999997</v>
      </c>
      <c r="J14" s="32">
        <f t="shared" si="4"/>
        <v>41.99407809755438</v>
      </c>
      <c r="K14" s="80">
        <v>35.68552400000001</v>
      </c>
      <c r="L14" s="80">
        <v>70.80461111111113</v>
      </c>
      <c r="M14" s="93">
        <v>247.6013832</v>
      </c>
      <c r="N14" s="34">
        <v>39.88874119182253</v>
      </c>
      <c r="O14" s="80">
        <v>27.5112648</v>
      </c>
      <c r="P14" s="34">
        <v>39.88874119182253</v>
      </c>
      <c r="Q14" s="51"/>
    </row>
    <row r="15" spans="1:16" ht="15">
      <c r="A15" s="10" t="s">
        <v>31</v>
      </c>
      <c r="B15" s="7" t="s">
        <v>11</v>
      </c>
      <c r="C15" s="6">
        <f>SUM(C16:C18)</f>
        <v>22.05</v>
      </c>
      <c r="D15" s="26">
        <f t="shared" si="0"/>
        <v>2.7966758444562716</v>
      </c>
      <c r="E15" s="6">
        <f>SUM(E16:E18)</f>
        <v>23.68</v>
      </c>
      <c r="F15" s="34">
        <f t="shared" si="1"/>
        <v>3.199392980034599</v>
      </c>
      <c r="G15" s="6">
        <f>SUM(G16:G18)</f>
        <v>22.95</v>
      </c>
      <c r="H15" s="28">
        <f t="shared" si="2"/>
        <v>3.474640423921272</v>
      </c>
      <c r="I15" s="55">
        <f t="shared" si="3"/>
        <v>103.8507421979769</v>
      </c>
      <c r="J15" s="28">
        <f t="shared" si="4"/>
        <v>14.031987866231171</v>
      </c>
      <c r="K15" s="81">
        <v>7.850815280000002</v>
      </c>
      <c r="L15" s="80">
        <v>15.577014444444448</v>
      </c>
      <c r="M15" s="81">
        <v>54.472304304</v>
      </c>
      <c r="N15" s="33">
        <v>8.775523062200957</v>
      </c>
      <c r="O15" s="81">
        <v>41.527622613976895</v>
      </c>
      <c r="P15" s="34">
        <v>60.2111390662272</v>
      </c>
    </row>
    <row r="16" spans="1:16" ht="32.25" customHeight="1">
      <c r="A16" s="11" t="s">
        <v>32</v>
      </c>
      <c r="B16" s="7" t="s">
        <v>12</v>
      </c>
      <c r="C16" s="65">
        <v>22.05</v>
      </c>
      <c r="D16" s="26">
        <f t="shared" si="0"/>
        <v>2.7966758444562716</v>
      </c>
      <c r="E16" s="43">
        <v>23.68</v>
      </c>
      <c r="F16" s="34">
        <f t="shared" si="1"/>
        <v>3.199392980034599</v>
      </c>
      <c r="G16" s="65">
        <v>22.95</v>
      </c>
      <c r="H16" s="32">
        <f t="shared" si="2"/>
        <v>3.474640423921272</v>
      </c>
      <c r="I16" s="55">
        <f t="shared" si="3"/>
        <v>68.37559784</v>
      </c>
      <c r="J16" s="32">
        <f t="shared" si="4"/>
        <v>9.238697181461964</v>
      </c>
      <c r="K16" s="80">
        <v>7.850815280000002</v>
      </c>
      <c r="L16" s="80">
        <v>15.577014444444448</v>
      </c>
      <c r="M16" s="80">
        <v>54.472304304</v>
      </c>
      <c r="N16" s="34">
        <v>8.775523062200957</v>
      </c>
      <c r="O16" s="80">
        <v>6.052478256</v>
      </c>
      <c r="P16" s="34">
        <v>8.775523062200957</v>
      </c>
    </row>
    <row r="17" spans="1:16" ht="48" customHeight="1">
      <c r="A17" s="74" t="s">
        <v>33</v>
      </c>
      <c r="B17" s="7" t="s">
        <v>13</v>
      </c>
      <c r="C17" s="65"/>
      <c r="D17" s="26">
        <f t="shared" si="0"/>
        <v>0</v>
      </c>
      <c r="E17" s="43"/>
      <c r="F17" s="34">
        <f t="shared" si="1"/>
        <v>0</v>
      </c>
      <c r="G17" s="8"/>
      <c r="H17" s="32">
        <f t="shared" si="2"/>
        <v>0</v>
      </c>
      <c r="I17" s="55">
        <f t="shared" si="3"/>
        <v>35.475144357976895</v>
      </c>
      <c r="J17" s="32">
        <f t="shared" si="4"/>
        <v>4.7932906847692065</v>
      </c>
      <c r="K17" s="80">
        <v>0</v>
      </c>
      <c r="L17" s="80">
        <v>0</v>
      </c>
      <c r="M17" s="80">
        <v>0</v>
      </c>
      <c r="N17" s="34">
        <v>0</v>
      </c>
      <c r="O17" s="80">
        <v>35.475144357976895</v>
      </c>
      <c r="P17" s="34">
        <v>51.43561600402624</v>
      </c>
    </row>
    <row r="18" spans="1:16" ht="15">
      <c r="A18" s="11" t="s">
        <v>34</v>
      </c>
      <c r="B18" s="7" t="s">
        <v>14</v>
      </c>
      <c r="C18" s="65"/>
      <c r="D18" s="26">
        <f t="shared" si="0"/>
        <v>0</v>
      </c>
      <c r="E18" s="43"/>
      <c r="F18" s="34">
        <f t="shared" si="1"/>
        <v>0</v>
      </c>
      <c r="G18" s="8"/>
      <c r="H18" s="28">
        <f t="shared" si="2"/>
        <v>0</v>
      </c>
      <c r="I18" s="55">
        <f t="shared" si="3"/>
        <v>0</v>
      </c>
      <c r="J18" s="16">
        <f t="shared" si="4"/>
        <v>0</v>
      </c>
      <c r="K18" s="80">
        <v>0</v>
      </c>
      <c r="L18" s="80">
        <v>0</v>
      </c>
      <c r="M18" s="80">
        <v>0</v>
      </c>
      <c r="N18" s="34">
        <v>0</v>
      </c>
      <c r="O18" s="80">
        <v>0</v>
      </c>
      <c r="P18" s="34">
        <v>0</v>
      </c>
    </row>
    <row r="19" spans="1:17" ht="15" customHeight="1">
      <c r="A19" s="12" t="s">
        <v>35</v>
      </c>
      <c r="B19" s="13" t="s">
        <v>68</v>
      </c>
      <c r="C19" s="27">
        <v>3.36</v>
      </c>
      <c r="D19" s="25">
        <f t="shared" si="0"/>
        <v>0.4261601286790509</v>
      </c>
      <c r="E19" s="39">
        <v>2.67</v>
      </c>
      <c r="F19" s="37">
        <f t="shared" si="1"/>
        <v>0.3607423672589687</v>
      </c>
      <c r="G19" s="14">
        <v>1.85</v>
      </c>
      <c r="H19" s="29">
        <f t="shared" si="2"/>
        <v>0.28009084027252085</v>
      </c>
      <c r="I19" s="54">
        <f>'[5]Лист1'!$I$15</f>
        <v>4.86109945622</v>
      </c>
      <c r="J19" s="29">
        <f t="shared" si="4"/>
        <v>0.6568165729252804</v>
      </c>
      <c r="K19" s="82">
        <v>0.41420128200416473</v>
      </c>
      <c r="L19" s="82">
        <v>0.8218279404844538</v>
      </c>
      <c r="M19" s="82">
        <v>3.939526946652793</v>
      </c>
      <c r="N19" s="37">
        <v>0.6346603107071984</v>
      </c>
      <c r="O19" s="82">
        <v>0.5073712275630426</v>
      </c>
      <c r="P19" s="37">
        <v>0.735640463336295</v>
      </c>
      <c r="Q19" s="63"/>
    </row>
    <row r="20" spans="1:17" ht="15" customHeight="1">
      <c r="A20" s="11" t="s">
        <v>76</v>
      </c>
      <c r="B20" s="7" t="s">
        <v>69</v>
      </c>
      <c r="C20" s="27"/>
      <c r="D20" s="25"/>
      <c r="E20" s="39"/>
      <c r="F20" s="37"/>
      <c r="G20" s="14"/>
      <c r="H20" s="29"/>
      <c r="I20" s="54"/>
      <c r="J20" s="29"/>
      <c r="K20" s="80">
        <v>0.26846669345315527</v>
      </c>
      <c r="L20" s="80">
        <v>0.5326720108197525</v>
      </c>
      <c r="M20" s="80">
        <v>2.553424673192696</v>
      </c>
      <c r="N20" s="47">
        <v>0.4113583479439846</v>
      </c>
      <c r="O20" s="80">
        <v>0.32885527335414877</v>
      </c>
      <c r="P20" s="47">
        <v>0.47680915376852073</v>
      </c>
      <c r="Q20" s="63"/>
    </row>
    <row r="21" spans="1:17" ht="15" customHeight="1">
      <c r="A21" s="11" t="s">
        <v>77</v>
      </c>
      <c r="B21" s="7" t="s">
        <v>70</v>
      </c>
      <c r="C21" s="27"/>
      <c r="D21" s="25"/>
      <c r="E21" s="39"/>
      <c r="F21" s="37"/>
      <c r="G21" s="14"/>
      <c r="H21" s="29"/>
      <c r="I21" s="54"/>
      <c r="J21" s="29"/>
      <c r="K21" s="80">
        <v>0.05906267255969416</v>
      </c>
      <c r="L21" s="80">
        <v>0.11718784238034555</v>
      </c>
      <c r="M21" s="80">
        <v>0.5617534281023931</v>
      </c>
      <c r="N21" s="47">
        <v>0.09049883654767661</v>
      </c>
      <c r="O21" s="80">
        <v>0.07234816013791273</v>
      </c>
      <c r="P21" s="47">
        <v>0.10489801382907456</v>
      </c>
      <c r="Q21" s="63"/>
    </row>
    <row r="22" spans="1:17" ht="15" customHeight="1">
      <c r="A22" s="11" t="s">
        <v>78</v>
      </c>
      <c r="B22" s="7" t="s">
        <v>71</v>
      </c>
      <c r="C22" s="27"/>
      <c r="D22" s="25"/>
      <c r="E22" s="39"/>
      <c r="F22" s="37"/>
      <c r="G22" s="14"/>
      <c r="H22" s="29"/>
      <c r="I22" s="54"/>
      <c r="J22" s="29"/>
      <c r="K22" s="80">
        <v>0.0866719159913153</v>
      </c>
      <c r="L22" s="80">
        <v>0.17196808728435584</v>
      </c>
      <c r="M22" s="80">
        <v>0.8243488453577038</v>
      </c>
      <c r="N22" s="47">
        <v>0.1328031262155372</v>
      </c>
      <c r="O22" s="80">
        <v>0.10616779407098115</v>
      </c>
      <c r="P22" s="47">
        <v>0.15393329573869968</v>
      </c>
      <c r="Q22" s="63"/>
    </row>
    <row r="23" spans="1:17" ht="18.75" customHeight="1">
      <c r="A23" s="14">
        <v>2</v>
      </c>
      <c r="B23" s="13" t="s">
        <v>15</v>
      </c>
      <c r="C23" s="27">
        <v>31.89</v>
      </c>
      <c r="D23" s="25">
        <f t="shared" si="0"/>
        <v>4.044716221302064</v>
      </c>
      <c r="E23" s="39">
        <v>26.96</v>
      </c>
      <c r="F23" s="37">
        <f t="shared" si="1"/>
        <v>3.6425521428096617</v>
      </c>
      <c r="G23" s="14">
        <v>19.88</v>
      </c>
      <c r="H23" s="29">
        <f t="shared" si="2"/>
        <v>3.0098410295230886</v>
      </c>
      <c r="I23" s="54">
        <f>'[6]Лист1'!$I$13</f>
        <v>61.4473686631568</v>
      </c>
      <c r="J23" s="36">
        <f t="shared" si="4"/>
        <v>8.302576498197109</v>
      </c>
      <c r="K23" s="82">
        <v>4.568110509350532</v>
      </c>
      <c r="L23" s="82">
        <v>9.063711328076453</v>
      </c>
      <c r="M23" s="82">
        <v>50.108266803452935</v>
      </c>
      <c r="N23" s="37">
        <v>8.072473829757373</v>
      </c>
      <c r="O23" s="82">
        <v>6.770991350353334</v>
      </c>
      <c r="P23" s="37">
        <v>9.817299333555654</v>
      </c>
      <c r="Q23" s="63"/>
    </row>
    <row r="24" spans="1:17" ht="18.75" customHeight="1">
      <c r="A24" s="11" t="s">
        <v>79</v>
      </c>
      <c r="B24" s="7" t="s">
        <v>69</v>
      </c>
      <c r="C24" s="27"/>
      <c r="D24" s="25"/>
      <c r="E24" s="39"/>
      <c r="F24" s="37"/>
      <c r="G24" s="14"/>
      <c r="H24" s="29"/>
      <c r="I24" s="54"/>
      <c r="J24" s="36"/>
      <c r="K24" s="80">
        <v>3.6203471660197937</v>
      </c>
      <c r="L24" s="80">
        <v>7.183228504007527</v>
      </c>
      <c r="M24" s="80">
        <v>39.71211321282949</v>
      </c>
      <c r="N24" s="47">
        <v>6.397646837244776</v>
      </c>
      <c r="O24" s="80">
        <v>5.366187901150709</v>
      </c>
      <c r="P24" s="47">
        <v>7.780466726331317</v>
      </c>
      <c r="Q24" s="63"/>
    </row>
    <row r="25" spans="1:17" ht="18.75" customHeight="1">
      <c r="A25" s="11" t="s">
        <v>80</v>
      </c>
      <c r="B25" s="7" t="s">
        <v>70</v>
      </c>
      <c r="C25" s="27"/>
      <c r="D25" s="25"/>
      <c r="E25" s="39"/>
      <c r="F25" s="37"/>
      <c r="G25" s="14"/>
      <c r="H25" s="29"/>
      <c r="I25" s="54"/>
      <c r="J25" s="36"/>
      <c r="K25" s="80">
        <v>0.7964763765243547</v>
      </c>
      <c r="L25" s="80">
        <v>1.5803102708816559</v>
      </c>
      <c r="M25" s="80">
        <v>8.736664906822488</v>
      </c>
      <c r="N25" s="47">
        <v>1.4074823041938507</v>
      </c>
      <c r="O25" s="80">
        <v>1.180561338253156</v>
      </c>
      <c r="P25" s="47">
        <v>1.7117026797928898</v>
      </c>
      <c r="Q25" s="63"/>
    </row>
    <row r="26" spans="1:17" ht="18.75" customHeight="1">
      <c r="A26" s="11" t="s">
        <v>81</v>
      </c>
      <c r="B26" s="7" t="s">
        <v>71</v>
      </c>
      <c r="C26" s="27"/>
      <c r="D26" s="25"/>
      <c r="E26" s="39"/>
      <c r="F26" s="37"/>
      <c r="G26" s="14"/>
      <c r="H26" s="29"/>
      <c r="I26" s="54"/>
      <c r="J26" s="36"/>
      <c r="K26" s="80">
        <v>0.15128696680638398</v>
      </c>
      <c r="L26" s="80">
        <v>0.3001725531872699</v>
      </c>
      <c r="M26" s="80">
        <v>1.6594886838009533</v>
      </c>
      <c r="N26" s="47">
        <v>0.26734468831874625</v>
      </c>
      <c r="O26" s="80">
        <v>0.22424211094946966</v>
      </c>
      <c r="P26" s="47">
        <v>0.3251299274314472</v>
      </c>
      <c r="Q26" s="63"/>
    </row>
    <row r="27" spans="1:17" ht="15">
      <c r="A27" s="14">
        <v>3</v>
      </c>
      <c r="B27" s="13" t="s">
        <v>16</v>
      </c>
      <c r="C27" s="23">
        <v>0</v>
      </c>
      <c r="D27" s="25">
        <f t="shared" si="0"/>
        <v>0</v>
      </c>
      <c r="E27" s="23">
        <v>0</v>
      </c>
      <c r="F27" s="37">
        <f t="shared" si="1"/>
        <v>0</v>
      </c>
      <c r="G27" s="23">
        <v>0</v>
      </c>
      <c r="H27" s="29">
        <f t="shared" si="2"/>
        <v>0</v>
      </c>
      <c r="I27" s="55">
        <f>K27+M27</f>
        <v>0</v>
      </c>
      <c r="J27" s="28">
        <f t="shared" si="4"/>
        <v>0</v>
      </c>
      <c r="K27" s="81">
        <v>0</v>
      </c>
      <c r="L27" s="80">
        <v>0</v>
      </c>
      <c r="M27" s="81">
        <v>0</v>
      </c>
      <c r="N27" s="34">
        <v>0</v>
      </c>
      <c r="O27" s="81">
        <v>0</v>
      </c>
      <c r="P27" s="34">
        <v>0</v>
      </c>
      <c r="Q27" s="64"/>
    </row>
    <row r="28" spans="1:17" ht="17.25" customHeight="1">
      <c r="A28" s="14">
        <v>4</v>
      </c>
      <c r="B28" s="13" t="s">
        <v>17</v>
      </c>
      <c r="C28" s="23">
        <v>0</v>
      </c>
      <c r="D28" s="25">
        <f t="shared" si="0"/>
        <v>0</v>
      </c>
      <c r="E28" s="23">
        <v>0</v>
      </c>
      <c r="F28" s="37">
        <f t="shared" si="1"/>
        <v>0</v>
      </c>
      <c r="G28" s="23">
        <v>0</v>
      </c>
      <c r="H28" s="29">
        <f t="shared" si="2"/>
        <v>0</v>
      </c>
      <c r="I28" s="55">
        <f>K28+M28</f>
        <v>0</v>
      </c>
      <c r="J28" s="28">
        <f t="shared" si="4"/>
        <v>0</v>
      </c>
      <c r="K28" s="81">
        <v>0</v>
      </c>
      <c r="L28" s="80">
        <v>0</v>
      </c>
      <c r="M28" s="81">
        <v>0</v>
      </c>
      <c r="N28" s="34">
        <v>0</v>
      </c>
      <c r="O28" s="81">
        <v>0</v>
      </c>
      <c r="P28" s="34">
        <v>0</v>
      </c>
      <c r="Q28" s="64"/>
    </row>
    <row r="29" spans="1:17" ht="15">
      <c r="A29" s="14">
        <v>5</v>
      </c>
      <c r="B29" s="13" t="s">
        <v>18</v>
      </c>
      <c r="C29" s="23">
        <v>0</v>
      </c>
      <c r="D29" s="25">
        <f t="shared" si="0"/>
        <v>0</v>
      </c>
      <c r="E29" s="23">
        <v>0</v>
      </c>
      <c r="F29" s="37">
        <f t="shared" si="1"/>
        <v>0</v>
      </c>
      <c r="G29" s="23">
        <v>0</v>
      </c>
      <c r="H29" s="29">
        <f t="shared" si="2"/>
        <v>0</v>
      </c>
      <c r="I29" s="55">
        <f>K29+M29</f>
        <v>0</v>
      </c>
      <c r="J29" s="28">
        <f t="shared" si="4"/>
        <v>0</v>
      </c>
      <c r="K29" s="81">
        <v>0</v>
      </c>
      <c r="L29" s="80">
        <v>0</v>
      </c>
      <c r="M29" s="81">
        <v>0</v>
      </c>
      <c r="N29" s="34">
        <v>0</v>
      </c>
      <c r="O29" s="81">
        <v>0</v>
      </c>
      <c r="P29" s="34">
        <v>0</v>
      </c>
      <c r="Q29" s="64"/>
    </row>
    <row r="30" spans="1:17" ht="17.25" customHeight="1">
      <c r="A30" s="14">
        <v>6</v>
      </c>
      <c r="B30" s="13" t="s">
        <v>55</v>
      </c>
      <c r="C30" s="23">
        <f>C9+C23+C27+C28+C29</f>
        <v>310.18</v>
      </c>
      <c r="D30" s="25">
        <f t="shared" si="0"/>
        <v>39.3411752124012</v>
      </c>
      <c r="E30" s="23">
        <f>E9+E23+E27+E28+E29</f>
        <v>328.47999999999996</v>
      </c>
      <c r="F30" s="37">
        <f t="shared" si="1"/>
        <v>44.38076883791237</v>
      </c>
      <c r="G30" s="23">
        <f>G9+G23+G27+G28+G29</f>
        <v>292.48</v>
      </c>
      <c r="H30" s="29">
        <f t="shared" si="2"/>
        <v>44.28160484481454</v>
      </c>
      <c r="I30" s="56">
        <f>I9+I23+I27+I28+I29</f>
        <v>969.4038197802909</v>
      </c>
      <c r="J30" s="16">
        <f t="shared" si="4"/>
        <v>130.98281580601147</v>
      </c>
      <c r="K30" s="78">
        <v>81.93265107135471</v>
      </c>
      <c r="L30" s="82">
        <v>162.56478387173553</v>
      </c>
      <c r="M30" s="78">
        <v>785.9333487170428</v>
      </c>
      <c r="N30" s="37">
        <v>126.61436513734519</v>
      </c>
      <c r="O30" s="78">
        <v>101.53781999189326</v>
      </c>
      <c r="P30" s="37">
        <v>147.22026967071662</v>
      </c>
      <c r="Q30" s="64"/>
    </row>
    <row r="31" spans="1:17" ht="14.25" customHeight="1">
      <c r="A31" s="14">
        <v>7</v>
      </c>
      <c r="B31" s="13" t="s">
        <v>19</v>
      </c>
      <c r="C31" s="23">
        <v>0</v>
      </c>
      <c r="D31" s="25">
        <f t="shared" si="0"/>
        <v>0</v>
      </c>
      <c r="E31" s="23">
        <v>0</v>
      </c>
      <c r="F31" s="37">
        <f t="shared" si="1"/>
        <v>0</v>
      </c>
      <c r="G31" s="23">
        <v>0</v>
      </c>
      <c r="H31" s="29">
        <f t="shared" si="2"/>
        <v>0</v>
      </c>
      <c r="I31" s="56">
        <v>0</v>
      </c>
      <c r="J31" s="29">
        <f t="shared" si="4"/>
        <v>0</v>
      </c>
      <c r="K31" s="83">
        <v>0</v>
      </c>
      <c r="L31" s="82">
        <v>0</v>
      </c>
      <c r="M31" s="83">
        <v>0</v>
      </c>
      <c r="N31" s="37">
        <v>0</v>
      </c>
      <c r="O31" s="83">
        <v>0</v>
      </c>
      <c r="P31" s="37">
        <v>0</v>
      </c>
      <c r="Q31" s="64"/>
    </row>
    <row r="32" spans="1:17" ht="14.25">
      <c r="A32" s="14">
        <v>8</v>
      </c>
      <c r="B32" s="13" t="s">
        <v>56</v>
      </c>
      <c r="C32" s="23">
        <f>C39-C30</f>
        <v>68.82449647933339</v>
      </c>
      <c r="D32" s="25">
        <f t="shared" si="0"/>
        <v>8.729242939257025</v>
      </c>
      <c r="E32" s="37">
        <f>411.83-E30</f>
        <v>83.35000000000002</v>
      </c>
      <c r="F32" s="37">
        <f t="shared" si="1"/>
        <v>11.261376895518744</v>
      </c>
      <c r="G32" s="23">
        <v>33</v>
      </c>
      <c r="H32" s="29">
        <f t="shared" si="2"/>
        <v>4.996214988644966</v>
      </c>
      <c r="I32" s="56">
        <f>I30*4%</f>
        <v>38.776152791211636</v>
      </c>
      <c r="J32" s="29">
        <f t="shared" si="4"/>
        <v>5.239312632240459</v>
      </c>
      <c r="K32" s="83">
        <v>3.2773060428541885</v>
      </c>
      <c r="L32" s="82">
        <v>6.502591354869422</v>
      </c>
      <c r="M32" s="83">
        <v>31.43733394868171</v>
      </c>
      <c r="N32" s="37">
        <v>5.0645746054938074</v>
      </c>
      <c r="O32" s="83">
        <v>4.0615127996757305</v>
      </c>
      <c r="P32" s="37">
        <v>5.888810786828666</v>
      </c>
      <c r="Q32" s="63"/>
    </row>
    <row r="33" spans="1:16" ht="15">
      <c r="A33" s="10" t="s">
        <v>36</v>
      </c>
      <c r="B33" s="7" t="s">
        <v>20</v>
      </c>
      <c r="C33" s="24">
        <f>C32*0.18</f>
        <v>12.38840936628001</v>
      </c>
      <c r="D33" s="26">
        <f t="shared" si="0"/>
        <v>1.5712637290662645</v>
      </c>
      <c r="E33" s="24">
        <f>E32*0.18</f>
        <v>15.003000000000004</v>
      </c>
      <c r="F33" s="34">
        <f t="shared" si="1"/>
        <v>2.027047841193374</v>
      </c>
      <c r="G33" s="24">
        <f>G32*0.18</f>
        <v>5.9399999999999995</v>
      </c>
      <c r="H33" s="28">
        <f t="shared" si="2"/>
        <v>0.8993186979560939</v>
      </c>
      <c r="I33" s="57">
        <f>I32*0.18</f>
        <v>6.979707502418094</v>
      </c>
      <c r="J33" s="28">
        <f t="shared" si="4"/>
        <v>0.9430762738032825</v>
      </c>
      <c r="K33" s="79">
        <v>0.5899150877137539</v>
      </c>
      <c r="L33" s="80">
        <v>1.1704664438764958</v>
      </c>
      <c r="M33" s="79">
        <v>5.658720110762708</v>
      </c>
      <c r="N33" s="34">
        <v>0.9116234289888854</v>
      </c>
      <c r="O33" s="79">
        <v>0.7310723039416315</v>
      </c>
      <c r="P33" s="34">
        <v>1.0599859416291597</v>
      </c>
    </row>
    <row r="34" spans="1:16" ht="15">
      <c r="A34" s="10" t="s">
        <v>37</v>
      </c>
      <c r="B34" s="7" t="s">
        <v>21</v>
      </c>
      <c r="C34" s="24">
        <f>C32-C33</f>
        <v>56.43608711305338</v>
      </c>
      <c r="D34" s="26">
        <f t="shared" si="0"/>
        <v>7.157979210190761</v>
      </c>
      <c r="E34" s="24">
        <f>E32-E33</f>
        <v>68.34700000000002</v>
      </c>
      <c r="F34" s="34">
        <f t="shared" si="1"/>
        <v>9.234329054325372</v>
      </c>
      <c r="G34" s="24">
        <f>G32-G33</f>
        <v>27.060000000000002</v>
      </c>
      <c r="H34" s="28">
        <f t="shared" si="2"/>
        <v>4.096896290688873</v>
      </c>
      <c r="I34" s="57">
        <f>I32-I33</f>
        <v>31.796445288793542</v>
      </c>
      <c r="J34" s="28">
        <f t="shared" si="4"/>
        <v>4.296236358437176</v>
      </c>
      <c r="K34" s="79">
        <v>2.6873909551404345</v>
      </c>
      <c r="L34" s="80">
        <v>5.332124910992926</v>
      </c>
      <c r="M34" s="79">
        <v>25.778613837919004</v>
      </c>
      <c r="N34" s="34">
        <v>4.1529511765049225</v>
      </c>
      <c r="O34" s="79">
        <v>3.330440495734099</v>
      </c>
      <c r="P34" s="34">
        <v>4.828824845199506</v>
      </c>
    </row>
    <row r="35" spans="1:16" ht="15">
      <c r="A35" s="11" t="s">
        <v>38</v>
      </c>
      <c r="B35" s="7" t="s">
        <v>22</v>
      </c>
      <c r="C35" s="24"/>
      <c r="D35" s="65"/>
      <c r="E35" s="24"/>
      <c r="F35" s="43"/>
      <c r="G35" s="24"/>
      <c r="H35" s="8"/>
      <c r="I35" s="57"/>
      <c r="J35" s="28"/>
      <c r="K35" s="79"/>
      <c r="L35" s="94"/>
      <c r="M35" s="79"/>
      <c r="N35" s="9"/>
      <c r="O35" s="84"/>
      <c r="P35" s="34"/>
    </row>
    <row r="36" spans="1:16" ht="15">
      <c r="A36" s="11" t="s">
        <v>39</v>
      </c>
      <c r="B36" s="7" t="s">
        <v>23</v>
      </c>
      <c r="C36" s="24"/>
      <c r="D36" s="65"/>
      <c r="E36" s="24"/>
      <c r="F36" s="43"/>
      <c r="G36" s="24"/>
      <c r="H36" s="8"/>
      <c r="I36" s="57"/>
      <c r="J36" s="28"/>
      <c r="K36" s="79"/>
      <c r="L36" s="94"/>
      <c r="M36" s="79"/>
      <c r="N36" s="9"/>
      <c r="O36" s="84"/>
      <c r="P36" s="34"/>
    </row>
    <row r="37" spans="1:16" ht="19.5" customHeight="1">
      <c r="A37" s="11" t="s">
        <v>40</v>
      </c>
      <c r="B37" s="7" t="s">
        <v>75</v>
      </c>
      <c r="C37" s="26">
        <f>C34</f>
        <v>56.43608711305338</v>
      </c>
      <c r="D37" s="26">
        <f>C37/$C$48</f>
        <v>7.157979210190761</v>
      </c>
      <c r="E37" s="26">
        <f>E34</f>
        <v>68.34700000000002</v>
      </c>
      <c r="F37" s="34">
        <f>E37/$E$48</f>
        <v>9.234329054325372</v>
      </c>
      <c r="G37" s="26">
        <f>G34</f>
        <v>27.060000000000002</v>
      </c>
      <c r="H37" s="32">
        <f>G37/$G$48</f>
        <v>4.096896290688873</v>
      </c>
      <c r="I37" s="58">
        <f>I34</f>
        <v>31.796445288793542</v>
      </c>
      <c r="J37" s="26">
        <f t="shared" si="4"/>
        <v>4.296236358437176</v>
      </c>
      <c r="K37" s="85">
        <v>2.6873909551404345</v>
      </c>
      <c r="L37" s="80">
        <v>5.332124910992926</v>
      </c>
      <c r="M37" s="85">
        <v>25.778613837919004</v>
      </c>
      <c r="N37" s="34">
        <v>4.1529511765049225</v>
      </c>
      <c r="O37" s="85">
        <v>3.330440495734099</v>
      </c>
      <c r="P37" s="34">
        <v>4.828824845199506</v>
      </c>
    </row>
    <row r="38" spans="1:16" ht="19.5" customHeight="1">
      <c r="A38" s="11" t="s">
        <v>41</v>
      </c>
      <c r="B38" s="7" t="s">
        <v>24</v>
      </c>
      <c r="C38" s="6"/>
      <c r="D38" s="65"/>
      <c r="E38" s="43"/>
      <c r="F38" s="43"/>
      <c r="G38" s="8"/>
      <c r="H38" s="8"/>
      <c r="I38" s="59"/>
      <c r="J38" s="8"/>
      <c r="K38" s="94"/>
      <c r="L38" s="94"/>
      <c r="M38" s="94"/>
      <c r="N38" s="9"/>
      <c r="O38" s="84"/>
      <c r="P38" s="43"/>
    </row>
    <row r="39" spans="1:16" ht="19.5" customHeight="1">
      <c r="A39" s="111">
        <v>9</v>
      </c>
      <c r="B39" s="13" t="s">
        <v>82</v>
      </c>
      <c r="C39" s="25">
        <f>SUM(C40:C42)</f>
        <v>379.0044964793334</v>
      </c>
      <c r="D39" s="25">
        <f aca="true" t="shared" si="5" ref="D39:D44">C39/$C$48</f>
        <v>48.07041815165822</v>
      </c>
      <c r="E39" s="25">
        <f>E30+E31+E32</f>
        <v>411.83</v>
      </c>
      <c r="F39" s="37">
        <f aca="true" t="shared" si="6" ref="F39:F47">E39/$E$48</f>
        <v>55.642145733431114</v>
      </c>
      <c r="G39" s="25">
        <f>G30+G31+G32</f>
        <v>325.48</v>
      </c>
      <c r="H39" s="25">
        <f>G39/G48</f>
        <v>49.2778198334595</v>
      </c>
      <c r="I39" s="60">
        <f>I30+I31+I32</f>
        <v>1008.1799725715025</v>
      </c>
      <c r="J39" s="25">
        <f>I39/$I$48</f>
        <v>136.22212843825193</v>
      </c>
      <c r="K39" s="86">
        <v>85.2099571142089</v>
      </c>
      <c r="L39" s="82">
        <v>169.06737522660498</v>
      </c>
      <c r="M39" s="86">
        <v>817.3706826657245</v>
      </c>
      <c r="N39" s="37">
        <v>131.678939742839</v>
      </c>
      <c r="O39" s="86">
        <v>105.59933279156898</v>
      </c>
      <c r="P39" s="48">
        <v>153.10908045754528</v>
      </c>
    </row>
    <row r="40" spans="1:16" ht="15" hidden="1">
      <c r="A40" s="111"/>
      <c r="B40" s="7" t="s">
        <v>46</v>
      </c>
      <c r="C40" s="26">
        <f>'[1]вивоз нечистот'!$AG$6/1.2/1000-C43/C48*C49</f>
        <v>90.55711249298899</v>
      </c>
      <c r="D40" s="26">
        <f t="shared" si="5"/>
        <v>11.485663902623655</v>
      </c>
      <c r="E40" s="26">
        <f>'[4]вивоз нечистот'!$AG$6/1.2/1000-E43/E48*E49</f>
        <v>78.81728777825126</v>
      </c>
      <c r="F40" s="34">
        <f t="shared" si="6"/>
        <v>10.648964409759452</v>
      </c>
      <c r="G40" s="24">
        <f>G30/G48*G49+4.51</f>
        <v>63.006</v>
      </c>
      <c r="H40" s="24">
        <f>G40/G49</f>
        <v>47.69568508705526</v>
      </c>
      <c r="I40" s="59"/>
      <c r="J40" s="8"/>
      <c r="K40" s="95"/>
      <c r="L40" s="94"/>
      <c r="M40" s="95"/>
      <c r="N40" s="9"/>
      <c r="O40" s="84"/>
      <c r="P40" s="43"/>
    </row>
    <row r="41" spans="1:16" ht="15" hidden="1">
      <c r="A41" s="111"/>
      <c r="B41" s="7" t="s">
        <v>49</v>
      </c>
      <c r="C41" s="26">
        <f>'[1]вивоз нечистот'!$AG$17/1.2/1000-C43/C48*C50</f>
        <v>210.9776715441339</v>
      </c>
      <c r="D41" s="26">
        <f t="shared" si="5"/>
        <v>26.759009420730546</v>
      </c>
      <c r="E41" s="26">
        <f>'[4]вивоз нечистот'!$AG$17/1.2/1000-E43/E48*E50</f>
        <v>195.42541404619988</v>
      </c>
      <c r="F41" s="34">
        <f t="shared" si="6"/>
        <v>26.403830144415824</v>
      </c>
      <c r="G41" s="24">
        <f>G30/G48*G50+23.56</f>
        <v>217.9562452687358</v>
      </c>
      <c r="H41" s="24">
        <f>G41/G50</f>
        <v>49.648347441625475</v>
      </c>
      <c r="I41" s="59"/>
      <c r="J41" s="8"/>
      <c r="K41" s="95"/>
      <c r="L41" s="94"/>
      <c r="M41" s="95"/>
      <c r="N41" s="9"/>
      <c r="O41" s="84"/>
      <c r="P41" s="43"/>
    </row>
    <row r="42" spans="1:16" ht="15" hidden="1">
      <c r="A42" s="111"/>
      <c r="B42" s="7" t="s">
        <v>54</v>
      </c>
      <c r="C42" s="26">
        <f>'[1]вивоз нечистот'!$AG$13/1.2/1000-C43/C48*C51</f>
        <v>77.46971244221052</v>
      </c>
      <c r="D42" s="26">
        <f t="shared" si="5"/>
        <v>9.82574482830402</v>
      </c>
      <c r="E42" s="26">
        <f>'[4]вивоз нечистот'!$AG$13/1.2/1000-E43/E48*E51</f>
        <v>84.86788150888219</v>
      </c>
      <c r="F42" s="34">
        <f t="shared" si="6"/>
        <v>11.466457108527273</v>
      </c>
      <c r="G42" s="31">
        <f>G30/G48*G51+4.93</f>
        <v>44.5177547312642</v>
      </c>
      <c r="H42" s="24">
        <f>G42/G51</f>
        <v>49.796146231839145</v>
      </c>
      <c r="I42" s="59"/>
      <c r="J42" s="8"/>
      <c r="K42" s="95"/>
      <c r="L42" s="94"/>
      <c r="M42" s="95"/>
      <c r="N42" s="9"/>
      <c r="O42" s="84"/>
      <c r="P42" s="43"/>
    </row>
    <row r="43" spans="1:16" ht="16.5" customHeight="1">
      <c r="A43" s="68">
        <v>10</v>
      </c>
      <c r="B43" s="13" t="s">
        <v>83</v>
      </c>
      <c r="C43" s="25">
        <f>'[2]вивіз нечистот'!$B$8/1000</f>
        <v>58.922211854</v>
      </c>
      <c r="D43" s="25">
        <f t="shared" si="5"/>
        <v>7.473302793379445</v>
      </c>
      <c r="E43" s="37">
        <f>'[3]вивіз нечистот'!$B$5/1000</f>
        <v>52.698</v>
      </c>
      <c r="F43" s="37">
        <f t="shared" si="6"/>
        <v>7.120000475585443</v>
      </c>
      <c r="G43" s="27">
        <v>39.17</v>
      </c>
      <c r="H43" s="25">
        <f>G43/G48</f>
        <v>5.930355791067374</v>
      </c>
      <c r="I43" s="59"/>
      <c r="J43" s="27">
        <f>L43</f>
        <v>10.24</v>
      </c>
      <c r="K43" s="94"/>
      <c r="L43" s="96">
        <v>10.24</v>
      </c>
      <c r="M43" s="94"/>
      <c r="N43" s="39">
        <v>10.24</v>
      </c>
      <c r="O43" s="84"/>
      <c r="P43" s="39">
        <v>10.24</v>
      </c>
    </row>
    <row r="44" spans="1:16" ht="45.75" customHeight="1">
      <c r="A44" s="112">
        <v>11</v>
      </c>
      <c r="B44" s="13" t="s">
        <v>85</v>
      </c>
      <c r="C44" s="25">
        <f>SUM(C45:C47)</f>
        <v>437.9267083333334</v>
      </c>
      <c r="D44" s="25">
        <f t="shared" si="5"/>
        <v>55.54372094503767</v>
      </c>
      <c r="E44" s="25">
        <f>SUM(E45:E47)</f>
        <v>411.8085833333333</v>
      </c>
      <c r="F44" s="37">
        <f t="shared" si="6"/>
        <v>55.639252138287986</v>
      </c>
      <c r="G44" s="25">
        <f>SUM(G45:G47)</f>
        <v>364.65</v>
      </c>
      <c r="H44" s="25">
        <f>H39+H43</f>
        <v>55.20817562452687</v>
      </c>
      <c r="I44" s="59"/>
      <c r="J44" s="37">
        <f>J39+J43</f>
        <v>146.46212843825194</v>
      </c>
      <c r="K44" s="94"/>
      <c r="L44" s="82">
        <v>179.307375226605</v>
      </c>
      <c r="M44" s="97"/>
      <c r="N44" s="37">
        <v>141.918939742839</v>
      </c>
      <c r="O44" s="84"/>
      <c r="P44" s="37">
        <v>163.34908045754528</v>
      </c>
    </row>
    <row r="45" spans="1:16" ht="15" hidden="1">
      <c r="A45" s="113"/>
      <c r="B45" s="7" t="s">
        <v>46</v>
      </c>
      <c r="C45" s="24">
        <f>C40+C43/C48*C49</f>
        <v>103.885825</v>
      </c>
      <c r="D45" s="26">
        <f>C45/C49</f>
        <v>58.24795348812957</v>
      </c>
      <c r="E45" s="24">
        <f>E40+E43/E48*E49</f>
        <v>89.92202499999999</v>
      </c>
      <c r="F45" s="34">
        <f t="shared" si="6"/>
        <v>12.149319912816539</v>
      </c>
      <c r="G45" s="24">
        <f>G40+G43/G48*G49</f>
        <v>70.84</v>
      </c>
      <c r="H45" s="28">
        <f>H40+H43</f>
        <v>53.62604087812264</v>
      </c>
      <c r="I45" s="59"/>
      <c r="J45" s="8"/>
      <c r="K45" s="94"/>
      <c r="L45" s="94"/>
      <c r="M45" s="94"/>
      <c r="N45" s="9"/>
      <c r="O45" s="84"/>
      <c r="P45" s="43"/>
    </row>
    <row r="46" spans="1:16" ht="15" hidden="1">
      <c r="A46" s="113"/>
      <c r="B46" s="7" t="s">
        <v>47</v>
      </c>
      <c r="C46" s="24">
        <f>C41+C43/C48*C50</f>
        <v>244.39080833333338</v>
      </c>
      <c r="D46" s="26">
        <f>C46/C50</f>
        <v>54.66133042570642</v>
      </c>
      <c r="E46" s="24">
        <f>E41+E43/E48*E50</f>
        <v>224.67579999999998</v>
      </c>
      <c r="F46" s="34">
        <f t="shared" si="6"/>
        <v>30.355835190188238</v>
      </c>
      <c r="G46" s="24">
        <f>G41+G43/G48*G50</f>
        <v>243.99050719152157</v>
      </c>
      <c r="H46" s="28">
        <f>H41+H43</f>
        <v>55.578703232692845</v>
      </c>
      <c r="I46" s="59"/>
      <c r="J46" s="8"/>
      <c r="K46" s="94"/>
      <c r="L46" s="94"/>
      <c r="M46" s="94"/>
      <c r="N46" s="9"/>
      <c r="O46" s="84"/>
      <c r="P46" s="43"/>
    </row>
    <row r="47" spans="1:16" ht="18.75" customHeight="1" hidden="1">
      <c r="A47" s="114"/>
      <c r="B47" s="7" t="s">
        <v>48</v>
      </c>
      <c r="C47" s="24">
        <f>C43/C48*C51+C42</f>
        <v>89.65007500000002</v>
      </c>
      <c r="D47" s="26">
        <f>C47/C51</f>
        <v>55.005107832009095</v>
      </c>
      <c r="E47" s="24">
        <f>E43/E48*E51+E42</f>
        <v>97.21075833333333</v>
      </c>
      <c r="F47" s="34">
        <f t="shared" si="6"/>
        <v>13.134097035283215</v>
      </c>
      <c r="G47" s="24">
        <f>G42+G43/6.605*G51</f>
        <v>49.81949280847843</v>
      </c>
      <c r="H47" s="28">
        <f>H42+H43</f>
        <v>55.726502022906516</v>
      </c>
      <c r="I47" s="59"/>
      <c r="J47" s="8"/>
      <c r="K47" s="94"/>
      <c r="L47" s="94"/>
      <c r="M47" s="94"/>
      <c r="N47" s="9"/>
      <c r="O47" s="84"/>
      <c r="P47" s="43"/>
    </row>
    <row r="48" spans="1:17" ht="34.5" customHeight="1">
      <c r="A48" s="102">
        <v>12</v>
      </c>
      <c r="B48" s="7" t="s">
        <v>84</v>
      </c>
      <c r="C48" s="30">
        <f>SUM(C49:C51)</f>
        <v>7.884360299999999</v>
      </c>
      <c r="D48" s="65"/>
      <c r="E48" s="30">
        <f>SUM(E49:E51)</f>
        <v>7.401404</v>
      </c>
      <c r="F48" s="43"/>
      <c r="G48" s="30">
        <f>SUM(G49:G51)</f>
        <v>6.6049999999999995</v>
      </c>
      <c r="H48" s="8"/>
      <c r="I48" s="61">
        <f>K48+M48+O48</f>
        <v>7.401</v>
      </c>
      <c r="J48" s="8"/>
      <c r="K48" s="87">
        <v>0.504</v>
      </c>
      <c r="L48" s="94"/>
      <c r="M48" s="87">
        <v>6.2073</v>
      </c>
      <c r="N48" s="9"/>
      <c r="O48" s="87">
        <v>0.6897</v>
      </c>
      <c r="P48" s="43"/>
      <c r="Q48" s="49"/>
    </row>
    <row r="49" spans="1:16" ht="13.5" customHeight="1" hidden="1">
      <c r="A49" s="103"/>
      <c r="B49" s="7" t="s">
        <v>46</v>
      </c>
      <c r="C49" s="30">
        <f>'[1]вивоз нечистот'!$AF$6/1000</f>
        <v>1.7835102999999997</v>
      </c>
      <c r="D49" s="65"/>
      <c r="E49" s="44">
        <f>'[4]вивоз нечистот'!$AF$6/1000</f>
        <v>1.5596539999999999</v>
      </c>
      <c r="F49" s="43"/>
      <c r="G49" s="6">
        <v>1.321</v>
      </c>
      <c r="H49" s="8"/>
      <c r="I49" s="61">
        <f>K49+M49+O49</f>
        <v>1.56</v>
      </c>
      <c r="J49" s="8"/>
      <c r="K49" s="98">
        <v>0.388</v>
      </c>
      <c r="L49" s="94"/>
      <c r="M49" s="99">
        <v>1.0548</v>
      </c>
      <c r="N49" s="9"/>
      <c r="O49" s="88">
        <v>0.11720000000000004</v>
      </c>
      <c r="P49" s="43"/>
    </row>
    <row r="50" spans="1:16" ht="15" customHeight="1" hidden="1">
      <c r="A50" s="103"/>
      <c r="B50" s="7" t="s">
        <v>49</v>
      </c>
      <c r="C50" s="30">
        <f>'[1]вивоз нечистот'!$AF$17/1000</f>
        <v>4.471</v>
      </c>
      <c r="D50" s="65"/>
      <c r="E50" s="44">
        <f>'[4]вивоз нечистот'!$AF$17/1000</f>
        <v>4.1082</v>
      </c>
      <c r="F50" s="43"/>
      <c r="G50" s="31">
        <v>4.39</v>
      </c>
      <c r="H50" s="8"/>
      <c r="I50" s="61">
        <f>K50+M50+O50</f>
        <v>4.1080000000000005</v>
      </c>
      <c r="J50" s="8"/>
      <c r="K50" s="98">
        <v>0.019</v>
      </c>
      <c r="L50" s="94"/>
      <c r="M50" s="99">
        <v>3.6801</v>
      </c>
      <c r="N50" s="9"/>
      <c r="O50" s="88">
        <v>0.4089000000000001</v>
      </c>
      <c r="P50" s="43"/>
    </row>
    <row r="51" spans="1:16" ht="16.5" customHeight="1" hidden="1">
      <c r="A51" s="104"/>
      <c r="B51" s="7" t="s">
        <v>50</v>
      </c>
      <c r="C51" s="30">
        <f>'[1]вивоз нечистот'!$AF$13/1000</f>
        <v>1.6298499999999998</v>
      </c>
      <c r="D51" s="65"/>
      <c r="E51" s="44">
        <f>'[4]вивоз нечистот'!$AF$13/1000</f>
        <v>1.7335500000000001</v>
      </c>
      <c r="F51" s="43"/>
      <c r="G51" s="6">
        <v>0.894</v>
      </c>
      <c r="H51" s="8"/>
      <c r="I51" s="61">
        <f>K51+M51+O51</f>
        <v>1.733</v>
      </c>
      <c r="J51" s="8"/>
      <c r="K51" s="98">
        <v>0.097</v>
      </c>
      <c r="L51" s="94"/>
      <c r="M51" s="99">
        <v>1.4724000000000002</v>
      </c>
      <c r="N51" s="9"/>
      <c r="O51" s="88">
        <v>0.1635999999999999</v>
      </c>
      <c r="P51" s="43"/>
    </row>
    <row r="52" spans="1:16" ht="33" customHeight="1">
      <c r="A52" s="65">
        <v>13</v>
      </c>
      <c r="B52" s="13" t="s">
        <v>51</v>
      </c>
      <c r="C52" s="65"/>
      <c r="D52" s="65"/>
      <c r="E52" s="43"/>
      <c r="F52" s="43"/>
      <c r="G52" s="8"/>
      <c r="H52" s="8"/>
      <c r="I52" s="62"/>
      <c r="J52" s="8"/>
      <c r="K52" s="94"/>
      <c r="L52" s="83">
        <v>215.16885027192598</v>
      </c>
      <c r="M52" s="98"/>
      <c r="N52" s="38">
        <v>170.3027276914068</v>
      </c>
      <c r="O52" s="84"/>
      <c r="P52" s="38">
        <v>196.01889654905435</v>
      </c>
    </row>
    <row r="53" spans="1:16" ht="37.5" customHeight="1">
      <c r="A53" s="105" t="s">
        <v>72</v>
      </c>
      <c r="B53" s="105"/>
      <c r="C53" s="40"/>
      <c r="D53" s="40"/>
      <c r="E53" s="106"/>
      <c r="F53" s="106"/>
      <c r="G53" s="15"/>
      <c r="H53" s="19"/>
      <c r="I53" s="107" t="s">
        <v>60</v>
      </c>
      <c r="J53" s="107"/>
      <c r="K53" s="15"/>
      <c r="L53" s="41"/>
      <c r="M53" s="15"/>
      <c r="N53" s="72" t="s">
        <v>60</v>
      </c>
      <c r="P53" s="41"/>
    </row>
    <row r="54" spans="1:16" ht="16.5" customHeight="1">
      <c r="A54" s="66"/>
      <c r="B54" s="66"/>
      <c r="C54" s="40"/>
      <c r="D54" s="40"/>
      <c r="E54" s="40"/>
      <c r="F54" s="40"/>
      <c r="G54" s="15"/>
      <c r="H54" s="19"/>
      <c r="I54" s="73"/>
      <c r="J54" s="73"/>
      <c r="K54" s="15"/>
      <c r="L54" s="41"/>
      <c r="M54" s="15"/>
      <c r="N54" s="72"/>
      <c r="P54" s="41"/>
    </row>
    <row r="55" spans="1:14" ht="15">
      <c r="A55" s="108" t="s">
        <v>67</v>
      </c>
      <c r="B55" s="108"/>
      <c r="C55" s="70"/>
      <c r="D55" s="70"/>
      <c r="E55" s="109" t="s">
        <v>25</v>
      </c>
      <c r="F55" s="109"/>
      <c r="G55" s="15"/>
      <c r="H55" s="19"/>
      <c r="I55" s="109" t="s">
        <v>61</v>
      </c>
      <c r="J55" s="109"/>
      <c r="K55" s="15"/>
      <c r="L55" s="15"/>
      <c r="M55" s="15"/>
      <c r="N55" s="50" t="s">
        <v>73</v>
      </c>
    </row>
    <row r="56" spans="1:14" ht="31.5" customHeight="1">
      <c r="A56" s="15"/>
      <c r="B56" s="15"/>
      <c r="C56" s="15"/>
      <c r="D56" s="15"/>
      <c r="E56" s="15"/>
      <c r="F56" s="15"/>
      <c r="G56" s="15"/>
      <c r="H56" s="19"/>
      <c r="I56" s="15"/>
      <c r="J56" s="19"/>
      <c r="K56" s="15"/>
      <c r="L56" s="15"/>
      <c r="M56" s="15"/>
      <c r="N56" s="15"/>
    </row>
    <row r="57" spans="1:14" ht="15">
      <c r="A57" s="100"/>
      <c r="B57" s="100"/>
      <c r="C57" s="69"/>
      <c r="D57" s="69"/>
      <c r="E57" s="15"/>
      <c r="F57" s="15"/>
      <c r="G57" s="15"/>
      <c r="H57" s="19"/>
      <c r="I57" s="15"/>
      <c r="J57" s="19"/>
      <c r="K57" s="15"/>
      <c r="L57" s="15"/>
      <c r="M57" s="15"/>
      <c r="N57" s="15"/>
    </row>
  </sheetData>
  <sheetProtection/>
  <mergeCells count="26">
    <mergeCell ref="C5:D5"/>
    <mergeCell ref="E5:F5"/>
    <mergeCell ref="G5:G6"/>
    <mergeCell ref="H5:H6"/>
    <mergeCell ref="I5:I6"/>
    <mergeCell ref="E1:J1"/>
    <mergeCell ref="K5:L5"/>
    <mergeCell ref="M5:N5"/>
    <mergeCell ref="O5:P5"/>
    <mergeCell ref="A39:A42"/>
    <mergeCell ref="A44:A47"/>
    <mergeCell ref="A4:A6"/>
    <mergeCell ref="B4:B6"/>
    <mergeCell ref="C4:F4"/>
    <mergeCell ref="G4:H4"/>
    <mergeCell ref="I4:P4"/>
    <mergeCell ref="A57:B57"/>
    <mergeCell ref="B2:P2"/>
    <mergeCell ref="A48:A51"/>
    <mergeCell ref="A53:B53"/>
    <mergeCell ref="E53:F53"/>
    <mergeCell ref="I53:J53"/>
    <mergeCell ref="A55:B55"/>
    <mergeCell ref="E55:F55"/>
    <mergeCell ref="I55:J5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 2</cp:lastModifiedBy>
  <cp:lastPrinted>2022-10-26T12:01:46Z</cp:lastPrinted>
  <dcterms:created xsi:type="dcterms:W3CDTF">2019-12-19T09:16:56Z</dcterms:created>
  <dcterms:modified xsi:type="dcterms:W3CDTF">2022-10-26T12:02:36Z</dcterms:modified>
  <cp:category/>
  <cp:version/>
  <cp:contentType/>
  <cp:contentStatus/>
</cp:coreProperties>
</file>